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date1904="1" showInkAnnotation="0" codeName="ThisWorkbook" autoCompressPictures="0"/>
  <bookViews>
    <workbookView xWindow="585" yWindow="-735" windowWidth="22305" windowHeight="13740" tabRatio="500" activeTab="1"/>
  </bookViews>
  <sheets>
    <sheet name="ScreenCapture" sheetId="2" r:id="rId1"/>
    <sheet name="ConvFact" sheetId="1" r:id="rId2"/>
  </sheets>
  <functionGroups builtInGroupCount="17"/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7" i="1" l="1"/>
  <c r="D116" i="1"/>
  <c r="F104" i="1"/>
  <c r="C114" i="1"/>
  <c r="D115" i="1"/>
  <c r="H122" i="1"/>
  <c r="D120" i="1"/>
  <c r="D122" i="1"/>
  <c r="D91" i="1"/>
  <c r="F79" i="1"/>
  <c r="C89" i="1"/>
  <c r="D90" i="1"/>
  <c r="H97" i="1"/>
  <c r="D95" i="1"/>
  <c r="D97" i="1"/>
  <c r="B25" i="1"/>
  <c r="D40" i="1"/>
  <c r="D41" i="1"/>
  <c r="B38" i="1"/>
  <c r="E43" i="1"/>
  <c r="C58" i="1"/>
  <c r="G46" i="1"/>
  <c r="C59" i="1"/>
  <c r="D10" i="1"/>
  <c r="D12" i="1"/>
  <c r="D13" i="1"/>
  <c r="D11" i="1"/>
  <c r="B15" i="1"/>
  <c r="B29" i="1"/>
  <c r="B30" i="1"/>
  <c r="C47" i="1"/>
  <c r="C48" i="1"/>
  <c r="C49" i="1"/>
  <c r="C61" i="1"/>
  <c r="C63" i="1"/>
  <c r="C64" i="1"/>
  <c r="C51" i="1"/>
  <c r="C52" i="1"/>
  <c r="C53" i="1"/>
  <c r="B33" i="1"/>
  <c r="B34" i="1"/>
  <c r="D25" i="1"/>
  <c r="A11" i="1"/>
  <c r="K8" i="1"/>
  <c r="K9" i="1"/>
  <c r="K10" i="1"/>
  <c r="N23" i="2"/>
  <c r="N22" i="2"/>
  <c r="N21" i="2"/>
  <c r="N20" i="2"/>
</calcChain>
</file>

<file path=xl/sharedStrings.xml><?xml version="1.0" encoding="utf-8"?>
<sst xmlns="http://schemas.openxmlformats.org/spreadsheetml/2006/main" count="205" uniqueCount="172">
  <si>
    <t>Implied Futures Price:</t>
    <phoneticPr fontId="1" type="noConversion"/>
  </si>
  <si>
    <t>Implied Repo rate:</t>
    <phoneticPr fontId="1" type="noConversion"/>
  </si>
  <si>
    <t>Repo to 3/31/17:</t>
    <phoneticPr fontId="1" type="noConversion"/>
  </si>
  <si>
    <t>124-11</t>
    <phoneticPr fontId="1" type="noConversion"/>
  </si>
  <si>
    <t>Example using the on-the-run 10-year  note:</t>
    <phoneticPr fontId="1" type="noConversion"/>
  </si>
  <si>
    <t>95-30 1/4</t>
    <phoneticPr fontId="1" type="noConversion"/>
  </si>
  <si>
    <t>Situation on Feb 2, 2017:</t>
    <phoneticPr fontId="1" type="noConversion"/>
  </si>
  <si>
    <t xml:space="preserve"> day holding period</t>
  </si>
  <si>
    <t>Actual Repo Rate:</t>
  </si>
  <si>
    <t>Net Basis:</t>
  </si>
  <si>
    <t>-- in 32nds:</t>
  </si>
  <si>
    <t xml:space="preserve">  (Ticks)</t>
  </si>
  <si>
    <t>Repo:</t>
  </si>
  <si>
    <t>If we buy the note now and sell it using the futures contract:</t>
  </si>
  <si>
    <t>TYH4</t>
  </si>
  <si>
    <t>US 10-Yr Note  (CBT) Mar14</t>
  </si>
  <si>
    <t>Cash Security</t>
  </si>
  <si>
    <t>Price</t>
  </si>
  <si>
    <t>Source</t>
  </si>
  <si>
    <t>Conven. Yield</t>
  </si>
  <si>
    <t>Conver. Factor</t>
  </si>
  <si>
    <t>Gro/Bas (32nds)</t>
  </si>
  <si>
    <t>Implied Repo%</t>
  </si>
  <si>
    <t>Actual Repo%</t>
  </si>
  <si>
    <t>Net/Bas (32nds)</t>
  </si>
  <si>
    <t>Adjust Value</t>
  </si>
  <si>
    <t>1)</t>
  </si>
  <si>
    <t>T 2.625 11/15/20</t>
  </si>
  <si>
    <t>102-21</t>
  </si>
  <si>
    <t>BGN</t>
  </si>
  <si>
    <t>2)</t>
  </si>
  <si>
    <t>T 3.625 02/15/21</t>
  </si>
  <si>
    <t>108-31</t>
  </si>
  <si>
    <t>3)</t>
  </si>
  <si>
    <t>T 2 11/30/20</t>
  </si>
  <si>
    <t>98-13.25</t>
  </si>
  <si>
    <t>4)</t>
  </si>
  <si>
    <t>T 1.75 10/31/20</t>
  </si>
  <si>
    <t>96-31.25</t>
  </si>
  <si>
    <t>5)</t>
  </si>
  <si>
    <t>T 2 09/30/20</t>
  </si>
  <si>
    <t>98-23.75</t>
  </si>
  <si>
    <t>6)</t>
  </si>
  <si>
    <t>T 3.125 05/15/21</t>
  </si>
  <si>
    <t>105-11+</t>
  </si>
  <si>
    <t>7)</t>
  </si>
  <si>
    <t>T 2.375 12/31/20</t>
  </si>
  <si>
    <t>100-23.25</t>
  </si>
  <si>
    <t>8)</t>
  </si>
  <si>
    <t>T 2.125 08/15/21</t>
  </si>
  <si>
    <t>98-01.25</t>
  </si>
  <si>
    <t>9)</t>
  </si>
  <si>
    <t>T 2 11/15/21</t>
  </si>
  <si>
    <t>96-21.25</t>
  </si>
  <si>
    <t>10)</t>
  </si>
  <si>
    <t>T 2 02/15/22</t>
  </si>
  <si>
    <t>96-03.25</t>
  </si>
  <si>
    <t>11)</t>
  </si>
  <si>
    <t>T 1.75 05/15/22</t>
  </si>
  <si>
    <t>93-22.75</t>
  </si>
  <si>
    <t>12)</t>
  </si>
  <si>
    <t>T 1.625 08/15/22</t>
  </si>
  <si>
    <t>92-06</t>
  </si>
  <si>
    <t>13)</t>
  </si>
  <si>
    <t>T 1.625 11/15/22</t>
  </si>
  <si>
    <t>91-20.25</t>
  </si>
  <si>
    <t>14)</t>
  </si>
  <si>
    <t>T 2 02/15/23</t>
  </si>
  <si>
    <t>94-06.75</t>
  </si>
  <si>
    <t>15)</t>
  </si>
  <si>
    <t>T 2.5 08/15/23</t>
  </si>
  <si>
    <t>97-18.75</t>
  </si>
  <si>
    <t>16)</t>
  </si>
  <si>
    <t>T 2.75 11/15/23</t>
  </si>
  <si>
    <t>99-12.75</t>
  </si>
  <si>
    <t>17)</t>
  </si>
  <si>
    <t xml:space="preserve">Futures Price </t>
    <phoneticPr fontId="1" type="noConversion"/>
  </si>
  <si>
    <t>In % of par terms:</t>
    <phoneticPr fontId="1" type="noConversion"/>
  </si>
  <si>
    <t>CTD:</t>
    <phoneticPr fontId="1" type="noConversion"/>
  </si>
  <si>
    <t>103-06 3/4</t>
    <phoneticPr fontId="1" type="noConversion"/>
  </si>
  <si>
    <t>Conversion Factor:</t>
    <phoneticPr fontId="1" type="noConversion"/>
  </si>
  <si>
    <t>Forward analysis:</t>
    <phoneticPr fontId="1" type="noConversion"/>
  </si>
  <si>
    <t>Settlement:</t>
    <phoneticPr fontId="1" type="noConversion"/>
  </si>
  <si>
    <t>Last Cpn</t>
    <phoneticPr fontId="1" type="noConversion"/>
  </si>
  <si>
    <t>Next Coupon</t>
    <phoneticPr fontId="1" type="noConversion"/>
  </si>
  <si>
    <t>Forward Date:</t>
    <phoneticPr fontId="1" type="noConversion"/>
  </si>
  <si>
    <t>Last Del Dt:</t>
    <phoneticPr fontId="1" type="noConversion"/>
  </si>
  <si>
    <t>Note Dirty Price:</t>
    <phoneticPr fontId="1" type="noConversion"/>
  </si>
  <si>
    <t>AI:</t>
    <phoneticPr fontId="1" type="noConversion"/>
  </si>
  <si>
    <t>AI on forward date:</t>
    <phoneticPr fontId="1" type="noConversion"/>
  </si>
  <si>
    <t>Forward Price:</t>
    <phoneticPr fontId="1" type="noConversion"/>
  </si>
  <si>
    <t xml:space="preserve">  This is the note's yield-to-maturity.</t>
  </si>
  <si>
    <t xml:space="preserve">  --in 32nds</t>
  </si>
  <si>
    <t xml:space="preserve">  -- in $</t>
  </si>
  <si>
    <t xml:space="preserve">  the futures contract is settled by delivering a specific note.</t>
  </si>
  <si>
    <t>----the buyer pays the seller the futures price times the conversion factor on that note.</t>
  </si>
  <si>
    <t>Since there are many notes that are eligible to be delivered against the futures contract, the exchange uses a conversion factor to</t>
  </si>
  <si>
    <t xml:space="preserve">   put these notes on a more equal footing.  The idea behind the conversion factor is that we want to know what the note's price </t>
  </si>
  <si>
    <t xml:space="preserve">    would be on the first delivery date, if its yield to maturity were 6%.  Obviously, 6% is much higher than this note's ytm, so the</t>
  </si>
  <si>
    <t xml:space="preserve">    conversion factor is less than 1.</t>
  </si>
  <si>
    <t>The US Treasury started issuing 7-year notes on a monthly basis in February 2009.  Unlike 10- and 30-year notes, these mature on the last day of the month.</t>
  </si>
  <si>
    <t>--- Therefore in the table, any notes that mature on a 15th are 10-year notes, whereas those maturing on last days in the month are 7-year notes.</t>
  </si>
  <si>
    <t>The T-Note is identified by the issuer (T), coupon rate, and maturity date.</t>
  </si>
  <si>
    <t>The data source BGN refers to Bloomberg generic.</t>
  </si>
  <si>
    <t>Contract</t>
    <phoneticPr fontId="1" type="noConversion"/>
  </si>
  <si>
    <t>n</t>
    <phoneticPr fontId="1" type="noConversion"/>
  </si>
  <si>
    <t>number of whole years from first day of delivery month to note's maturity date.</t>
    <phoneticPr fontId="1" type="noConversion"/>
  </si>
  <si>
    <t>z</t>
    <phoneticPr fontId="1" type="noConversion"/>
  </si>
  <si>
    <t>number of whole months between n and note's maturity date rounded down to nearest quarter.</t>
    <phoneticPr fontId="1" type="noConversion"/>
  </si>
  <si>
    <t>v</t>
    <phoneticPr fontId="1" type="noConversion"/>
  </si>
  <si>
    <t>= z</t>
    <phoneticPr fontId="1" type="noConversion"/>
  </si>
  <si>
    <t>if z &lt; 7</t>
    <phoneticPr fontId="1" type="noConversion"/>
  </si>
  <si>
    <t xml:space="preserve">   3</t>
    <phoneticPr fontId="1" type="noConversion"/>
  </si>
  <si>
    <t>if z &gt;= 7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</si>
  <si>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</si>
  <si>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</si>
  <si>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</si>
  <si>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</si>
  <si>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Note Price:</t>
  </si>
  <si>
    <t xml:space="preserve">  (Remember note prices are usually quoted in 32nds)</t>
  </si>
  <si>
    <t>$ Price</t>
  </si>
  <si>
    <t>Note yield:</t>
  </si>
  <si>
    <t>Futures Price:</t>
  </si>
  <si>
    <t xml:space="preserve">  Times CF = </t>
  </si>
  <si>
    <t>Gross Basis:</t>
  </si>
  <si>
    <t>---- in 32nds:</t>
  </si>
  <si>
    <t>AI:</t>
  </si>
  <si>
    <t>Last Int Pmt:</t>
  </si>
  <si>
    <t>Next Int Pmt:</t>
  </si>
  <si>
    <t>$ amt:</t>
  </si>
  <si>
    <t>Prop due:</t>
  </si>
  <si>
    <t>Settle:</t>
  </si>
  <si>
    <t>Cash Outlay (and amt we have to finance):</t>
  </si>
  <si>
    <t>Last Delivery Date:</t>
  </si>
  <si>
    <t>Clean Selling price:</t>
  </si>
  <si>
    <t>Total Cash Inflow:</t>
  </si>
  <si>
    <t>Implied repo rate:</t>
  </si>
  <si>
    <t>The conven. yield is the ``conventional yield'' (to maturity) of the note.</t>
  </si>
  <si>
    <t xml:space="preserve">  The gross basis is simply the note's clean price minus the futures price-adjusted by the conversion factor for the note.</t>
  </si>
  <si>
    <t>Basis Trade:</t>
  </si>
  <si>
    <t xml:space="preserve">   This is the note's dirty (or cash) price.</t>
  </si>
  <si>
    <t xml:space="preserve">   The net basis is the cash flow consequence of selling the note short, and buying it back on the last delivery date as a long trader</t>
  </si>
  <si>
    <t xml:space="preserve">    in the futures market.</t>
  </si>
  <si>
    <t>Sell Short:</t>
  </si>
  <si>
    <t>Purchase:</t>
  </si>
  <si>
    <t xml:space="preserve">  The implied repo rate is that rate which we would earn on our repo position to make the two sides of the</t>
  </si>
  <si>
    <t xml:space="preserve">         transaction exactly equal.</t>
  </si>
  <si>
    <t>If the net basis is positive, then the implied repo rate will be negative.</t>
  </si>
  <si>
    <t>The cheapest to deliver is that note that has the lowest net basis.</t>
  </si>
  <si>
    <t>Conversion Factor:</t>
  </si>
  <si>
    <t>The cost of delivering the second CTD is simply the difference between that note's</t>
  </si>
  <si>
    <t xml:space="preserve">       net basis, and the CTD's net basis.</t>
  </si>
  <si>
    <t>In this instance,  there is virtually no cost difference to the short position between delivering</t>
  </si>
  <si>
    <t xml:space="preserve">   any of the first three notes on the screen.</t>
  </si>
  <si>
    <t>delmoy</t>
  </si>
  <si>
    <t>matmoy</t>
  </si>
  <si>
    <t>cpn</t>
  </si>
  <si>
    <t>Conversion Factor from the user-defined function</t>
  </si>
  <si>
    <t>T 1.75 05/15/23</t>
  </si>
  <si>
    <t>91-19.75</t>
  </si>
  <si>
    <t>First del date:</t>
  </si>
  <si>
    <t>Last del date:</t>
  </si>
  <si>
    <t>This is a Bloomberg screen that I exported to Excel.</t>
  </si>
  <si>
    <t>To get to the March 2014 10-year contract, I type TYH4 &lt;CMDTY&gt;</t>
  </si>
  <si>
    <t xml:space="preserve">   and then I choose DLV (Cheapest to Deliver)</t>
  </si>
  <si>
    <t>&lt;CMDTY&gt; is the yellow F9 key on the Bloomberg keyboard.</t>
  </si>
  <si>
    <t>The screen shows all notes that are deliverable against the March 2014 10-year Treasury note futures contract.</t>
  </si>
  <si>
    <t>It presents them in order from the Cheapest-to-Deliver to the Dearest-to-Deliver.</t>
  </si>
  <si>
    <t>Note that the note prices, gross basis, and net basis are reported in 32nds.</t>
  </si>
  <si>
    <t>This worksheet shows the computation of the various cells on the Bloomberg DLV screen.</t>
  </si>
  <si>
    <t xml:space="preserve"> (Computed directly from the spreadsheet).</t>
  </si>
  <si>
    <t xml:space="preserve"> (Using VBA Macro-- Subroutine CF()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</si>
</sst>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</font>
    <font>
      <sz val="10"/>
      <name val="Arial"/>
      <family val="2"/>
    </font>
    <font>
      <b/>
      <sz val="10"/>
      <name val="Verdana"/>
    </font>
    <font>
      <sz val="10"/>
      <name val="Verdana"/>
    </font>
    <font>
      <sz val="10"/>
      <name val="Arial"/>
      <family val="2"/>
    </font>
    <font>
      <sz val="14"/>
      <color indexed="45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quotePrefix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Font="1"/>
    <xf numFmtId="49" fontId="0" fillId="0" borderId="0" xfId="0" applyNumberFormat="1" applyFont="1"/>
    <xf numFmtId="14" fontId="5" fillId="0" borderId="0" xfId="0" applyNumberFormat="1" applyFont="1"/>
    <xf numFmtId="0" fontId="2" fillId="0" borderId="0" xfId="0" applyFont="1"/>
    <xf numFmtId="0" fontId="2" fillId="0" borderId="0" xfId="0" quotePrefix="1" applyFont="1"/>
    <xf numFmtId="10" fontId="0" fillId="0" borderId="0" xfId="0" applyNumberFormat="1"/>
    <xf numFmtId="9" fontId="0" fillId="0" borderId="0" xfId="0" applyNumberFormat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2" enableFormatConditionsCalculation="0"/>
  <dimension ref="A1:N46"/>
  <sheetViews>
    <sheetView workbookViewId="0">
      <selection activeCell="K43" sqref="K43"/>
    </sheetView>
  </sheetViews>
  <sheetFormatPr defaultColWidth="8.75" defaultRowHeight="12.75" x14ac:dyDescent="0.2"/>
  <cols>
    <col min="2" max="2" width="17.625" customWidth="1"/>
    <col min="5" max="5" width="12.125" bestFit="1" customWidth="1"/>
    <col min="6" max="6" width="18.25" customWidth="1"/>
    <col min="7" max="7" width="15.25" customWidth="1"/>
    <col min="8" max="8" width="19.375" customWidth="1"/>
    <col min="9" max="9" width="15.25" customWidth="1"/>
    <col min="10" max="10" width="12" customWidth="1"/>
  </cols>
  <sheetData>
    <row r="1" spans="1:10" x14ac:dyDescent="0.2">
      <c r="B1" s="6" t="s">
        <v>162</v>
      </c>
    </row>
    <row r="2" spans="1:10" x14ac:dyDescent="0.2">
      <c r="B2" s="6" t="s">
        <v>163</v>
      </c>
    </row>
    <row r="3" spans="1:10" x14ac:dyDescent="0.2">
      <c r="B3" s="6" t="s">
        <v>164</v>
      </c>
    </row>
    <row r="4" spans="1:10" x14ac:dyDescent="0.2">
      <c r="A4" s="8"/>
      <c r="B4" s="6"/>
      <c r="C4" s="8"/>
      <c r="D4" s="8"/>
      <c r="E4" s="8"/>
      <c r="F4" s="12" t="s">
        <v>165</v>
      </c>
      <c r="G4" s="8"/>
      <c r="H4" s="8"/>
      <c r="I4" s="8"/>
      <c r="J4" s="8"/>
    </row>
    <row r="5" spans="1:10" x14ac:dyDescent="0.2">
      <c r="A5" s="8"/>
      <c r="C5" s="8"/>
      <c r="D5" s="8"/>
      <c r="E5" s="8"/>
      <c r="F5" s="8"/>
      <c r="G5" s="8"/>
      <c r="H5" s="8"/>
      <c r="I5" s="8"/>
      <c r="J5" s="8"/>
    </row>
    <row r="6" spans="1:10" x14ac:dyDescent="0.2">
      <c r="A6" s="8"/>
      <c r="C6" s="8"/>
      <c r="D6" s="8"/>
      <c r="E6" s="8"/>
      <c r="F6" s="8"/>
      <c r="G6" s="8"/>
      <c r="H6" s="8"/>
      <c r="I6" s="8"/>
      <c r="J6" s="8"/>
    </row>
    <row r="7" spans="1:10" x14ac:dyDescent="0.2">
      <c r="A7" s="8"/>
      <c r="B7" s="6" t="s">
        <v>166</v>
      </c>
      <c r="C7" s="8"/>
      <c r="D7" s="8"/>
      <c r="E7" s="8"/>
      <c r="F7" s="8"/>
      <c r="G7" s="8"/>
      <c r="H7" s="8"/>
      <c r="I7" s="8"/>
      <c r="J7" s="8"/>
    </row>
    <row r="8" spans="1:10" x14ac:dyDescent="0.2">
      <c r="A8" s="8"/>
      <c r="B8" s="6" t="s">
        <v>167</v>
      </c>
      <c r="C8" s="8"/>
      <c r="D8" s="8"/>
      <c r="E8" s="8"/>
      <c r="F8" s="8"/>
      <c r="G8" s="8"/>
      <c r="H8" s="8"/>
      <c r="I8" s="8"/>
      <c r="J8" s="8"/>
    </row>
    <row r="9" spans="1:10" x14ac:dyDescent="0.2">
      <c r="A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8"/>
      <c r="B10" s="6" t="s">
        <v>168</v>
      </c>
      <c r="C10" s="8"/>
      <c r="D10" s="8"/>
      <c r="E10" s="8"/>
      <c r="F10" s="8"/>
      <c r="G10" s="8"/>
      <c r="H10" s="8"/>
      <c r="I10" s="8"/>
      <c r="J10" s="8"/>
    </row>
    <row r="11" spans="1:10" x14ac:dyDescent="0.2">
      <c r="A11" s="8"/>
      <c r="C11" s="8"/>
      <c r="D11" s="8"/>
      <c r="E11" s="8"/>
      <c r="F11" s="8"/>
      <c r="G11" s="8"/>
      <c r="H11" s="8"/>
      <c r="I11" s="8"/>
      <c r="J11" s="8"/>
    </row>
    <row r="12" spans="1:10" x14ac:dyDescent="0.2">
      <c r="A12" s="8"/>
      <c r="C12" s="8"/>
      <c r="D12" s="8"/>
      <c r="E12" s="8"/>
      <c r="F12" s="8"/>
      <c r="G12" s="8"/>
      <c r="H12" s="8"/>
      <c r="I12" s="8"/>
      <c r="J12" s="8"/>
    </row>
    <row r="13" spans="1:10" x14ac:dyDescent="0.2">
      <c r="A13" s="12" t="s">
        <v>100</v>
      </c>
      <c r="C13" s="8"/>
      <c r="D13" s="8"/>
      <c r="E13" s="8"/>
      <c r="F13" s="8"/>
      <c r="G13" s="8"/>
      <c r="H13" s="8"/>
      <c r="I13" s="8"/>
      <c r="J13" s="8"/>
    </row>
    <row r="14" spans="1:10" x14ac:dyDescent="0.2">
      <c r="A14" s="13" t="s">
        <v>101</v>
      </c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9"/>
      <c r="B15" s="9" t="s">
        <v>14</v>
      </c>
      <c r="C15" s="8"/>
      <c r="D15" s="8"/>
      <c r="E15" s="8"/>
      <c r="F15" s="8"/>
      <c r="G15" s="8"/>
      <c r="H15" s="8"/>
      <c r="I15" s="8"/>
      <c r="J15" s="8"/>
    </row>
    <row r="16" spans="1:10" x14ac:dyDescent="0.2">
      <c r="A16" s="9"/>
      <c r="B16" s="9" t="s">
        <v>15</v>
      </c>
      <c r="C16" s="8"/>
      <c r="D16" s="8"/>
      <c r="E16" s="8"/>
      <c r="F16" s="8"/>
      <c r="G16" s="8"/>
      <c r="H16" s="8"/>
      <c r="I16" s="8"/>
      <c r="J16" s="8"/>
    </row>
    <row r="17" spans="1:14" x14ac:dyDescent="0.2">
      <c r="A17" s="9"/>
      <c r="B17" s="8"/>
      <c r="C17" s="8"/>
      <c r="D17" s="8"/>
      <c r="E17" s="8"/>
      <c r="F17" s="8"/>
      <c r="G17" s="8"/>
      <c r="H17" s="8"/>
      <c r="I17" s="8"/>
      <c r="J17" s="8"/>
    </row>
    <row r="18" spans="1:14" x14ac:dyDescent="0.2">
      <c r="A18" s="9"/>
      <c r="B18" s="9" t="s">
        <v>16</v>
      </c>
      <c r="C18" s="9" t="s">
        <v>17</v>
      </c>
      <c r="D18" s="9" t="s">
        <v>18</v>
      </c>
      <c r="E18" s="9" t="s">
        <v>19</v>
      </c>
      <c r="F18" s="9" t="s">
        <v>20</v>
      </c>
      <c r="G18" s="10" t="s">
        <v>21</v>
      </c>
      <c r="H18" s="9" t="s">
        <v>22</v>
      </c>
      <c r="I18" s="9" t="s">
        <v>23</v>
      </c>
      <c r="J18" s="10" t="s">
        <v>24</v>
      </c>
    </row>
    <row r="19" spans="1:14" x14ac:dyDescent="0.2">
      <c r="A19" s="9"/>
      <c r="B19" s="9" t="s">
        <v>25</v>
      </c>
      <c r="C19" s="9"/>
      <c r="D19" s="9"/>
      <c r="E19" s="9"/>
      <c r="F19" s="9"/>
      <c r="G19" s="9"/>
      <c r="H19" s="9"/>
      <c r="I19" s="9"/>
      <c r="J19" s="9"/>
      <c r="K19" t="s">
        <v>154</v>
      </c>
      <c r="L19" t="s">
        <v>155</v>
      </c>
      <c r="M19" t="s">
        <v>156</v>
      </c>
      <c r="N19" t="s">
        <v>157</v>
      </c>
    </row>
    <row r="20" spans="1:14" x14ac:dyDescent="0.2">
      <c r="A20" s="9" t="s">
        <v>26</v>
      </c>
      <c r="B20" s="10" t="s">
        <v>27</v>
      </c>
      <c r="C20" s="9" t="s">
        <v>28</v>
      </c>
      <c r="D20" s="9" t="s">
        <v>29</v>
      </c>
      <c r="E20" s="9">
        <v>2.2029999999999998</v>
      </c>
      <c r="F20" s="9">
        <v>0.82050000000000001</v>
      </c>
      <c r="G20" s="9">
        <v>16.128</v>
      </c>
      <c r="H20" s="9">
        <v>-5.6000000000000001E-2</v>
      </c>
      <c r="I20" s="9">
        <v>7.1999999999999995E-2</v>
      </c>
      <c r="J20" s="9">
        <v>0.8</v>
      </c>
      <c r="K20" s="9">
        <v>32014</v>
      </c>
      <c r="L20" s="9">
        <v>112020</v>
      </c>
      <c r="M20">
        <v>2.6249999999999999E-2</v>
      </c>
      <c r="N20">
        <f>ConvFctr(M20,K20,L20)</f>
        <v>0.82053512874616241</v>
      </c>
    </row>
    <row r="21" spans="1:14" x14ac:dyDescent="0.2">
      <c r="A21" s="9" t="s">
        <v>30</v>
      </c>
      <c r="B21" s="10" t="s">
        <v>31</v>
      </c>
      <c r="C21" s="9" t="s">
        <v>32</v>
      </c>
      <c r="D21" s="9" t="s">
        <v>29</v>
      </c>
      <c r="E21" s="9">
        <v>2.2450000000000001</v>
      </c>
      <c r="F21" s="9">
        <v>0.86970000000000003</v>
      </c>
      <c r="G21" s="9">
        <v>22.114999999999998</v>
      </c>
      <c r="H21" s="9">
        <v>-6.8000000000000005E-2</v>
      </c>
      <c r="I21" s="9">
        <v>7.1999999999999995E-2</v>
      </c>
      <c r="J21" s="9">
        <v>0.92900000000000005</v>
      </c>
      <c r="K21" s="9">
        <v>32014</v>
      </c>
      <c r="L21" s="9">
        <v>22021</v>
      </c>
      <c r="M21">
        <v>3.6249999999999998E-2</v>
      </c>
      <c r="N21">
        <f t="shared" ref="N21:N23" si="0">ConvFctr(M21,K21,L21)</f>
        <v>0.86968854359326386</v>
      </c>
    </row>
    <row r="22" spans="1:14" x14ac:dyDescent="0.2">
      <c r="A22" s="9" t="s">
        <v>33</v>
      </c>
      <c r="B22" s="10" t="s">
        <v>34</v>
      </c>
      <c r="C22" s="9" t="s">
        <v>35</v>
      </c>
      <c r="D22" s="9" t="s">
        <v>29</v>
      </c>
      <c r="E22" s="9">
        <v>2.2509999999999999</v>
      </c>
      <c r="F22" s="9">
        <v>0.7873</v>
      </c>
      <c r="G22" s="9">
        <v>12.647</v>
      </c>
      <c r="H22" s="9">
        <v>-0.11600000000000001</v>
      </c>
      <c r="I22" s="9">
        <v>7.1999999999999995E-2</v>
      </c>
      <c r="J22" s="9">
        <v>1.1220000000000001</v>
      </c>
      <c r="K22" s="9">
        <v>32014</v>
      </c>
      <c r="L22" s="9">
        <v>112020</v>
      </c>
      <c r="M22">
        <v>0.02</v>
      </c>
      <c r="N22">
        <f t="shared" si="0"/>
        <v>0.78730089332878506</v>
      </c>
    </row>
    <row r="23" spans="1:14" x14ac:dyDescent="0.2">
      <c r="A23" s="9" t="s">
        <v>36</v>
      </c>
      <c r="B23" s="10" t="s">
        <v>37</v>
      </c>
      <c r="C23" s="9" t="s">
        <v>38</v>
      </c>
      <c r="D23" s="9" t="s">
        <v>29</v>
      </c>
      <c r="E23" s="9">
        <v>2.2330000000000001</v>
      </c>
      <c r="F23" s="9">
        <v>0.77400000000000002</v>
      </c>
      <c r="G23" s="9">
        <v>19.634</v>
      </c>
      <c r="H23" s="9">
        <v>-1.5489999999999999</v>
      </c>
      <c r="I23" s="9">
        <v>7.1999999999999995E-2</v>
      </c>
      <c r="J23" s="9">
        <v>9.5399999999999991</v>
      </c>
      <c r="K23" s="9">
        <v>32014</v>
      </c>
      <c r="L23" s="9">
        <v>102020</v>
      </c>
      <c r="M23">
        <v>1.7500000000000002E-2</v>
      </c>
      <c r="N23">
        <f t="shared" si="0"/>
        <v>0.77400719916183414</v>
      </c>
    </row>
    <row r="24" spans="1:14" x14ac:dyDescent="0.2">
      <c r="A24" s="9" t="s">
        <v>39</v>
      </c>
      <c r="B24" s="10" t="s">
        <v>40</v>
      </c>
      <c r="C24" s="9" t="s">
        <v>41</v>
      </c>
      <c r="D24" s="9" t="s">
        <v>29</v>
      </c>
      <c r="E24" s="9">
        <v>2.2029999999999998</v>
      </c>
      <c r="F24" s="9">
        <v>0.7873</v>
      </c>
      <c r="G24" s="9">
        <v>23.146999999999998</v>
      </c>
      <c r="H24" s="9">
        <v>-1.863</v>
      </c>
      <c r="I24" s="9">
        <v>7.1999999999999995E-2</v>
      </c>
      <c r="J24" s="9">
        <v>11.625</v>
      </c>
      <c r="K24" s="9">
        <v>32014</v>
      </c>
    </row>
    <row r="25" spans="1:14" x14ac:dyDescent="0.2">
      <c r="A25" s="9" t="s">
        <v>42</v>
      </c>
      <c r="B25" s="10" t="s">
        <v>43</v>
      </c>
      <c r="C25" s="9" t="s">
        <v>44</v>
      </c>
      <c r="D25" s="9" t="s">
        <v>29</v>
      </c>
      <c r="E25" s="9">
        <v>2.323</v>
      </c>
      <c r="F25" s="9">
        <v>0.83760000000000001</v>
      </c>
      <c r="G25" s="9">
        <v>34.502000000000002</v>
      </c>
      <c r="H25" s="9">
        <v>-2.4540000000000002</v>
      </c>
      <c r="I25" s="9">
        <v>7.1999999999999995E-2</v>
      </c>
      <c r="J25" s="9">
        <v>16.18</v>
      </c>
      <c r="K25" s="9">
        <v>32014</v>
      </c>
    </row>
    <row r="26" spans="1:14" x14ac:dyDescent="0.2">
      <c r="A26" s="9" t="s">
        <v>45</v>
      </c>
      <c r="B26" s="10" t="s">
        <v>46</v>
      </c>
      <c r="C26" s="9" t="s">
        <v>47</v>
      </c>
      <c r="D26" s="9" t="s">
        <v>29</v>
      </c>
      <c r="E26" s="9">
        <v>2.2610000000000001</v>
      </c>
      <c r="F26" s="9">
        <v>0.80120000000000002</v>
      </c>
      <c r="G26" s="9">
        <v>31.268999999999998</v>
      </c>
      <c r="H26" s="9">
        <v>-2.7869999999999999</v>
      </c>
      <c r="I26" s="9">
        <v>7.1999999999999995E-2</v>
      </c>
      <c r="J26" s="9">
        <v>17.434000000000001</v>
      </c>
      <c r="K26" s="9">
        <v>32014</v>
      </c>
    </row>
    <row r="27" spans="1:14" x14ac:dyDescent="0.2">
      <c r="A27" s="9" t="s">
        <v>48</v>
      </c>
      <c r="B27" s="10" t="s">
        <v>49</v>
      </c>
      <c r="C27" s="9" t="s">
        <v>50</v>
      </c>
      <c r="D27" s="9" t="s">
        <v>29</v>
      </c>
      <c r="E27" s="9">
        <v>2.41</v>
      </c>
      <c r="F27" s="9">
        <v>0.77480000000000004</v>
      </c>
      <c r="G27" s="9">
        <v>50.447000000000003</v>
      </c>
      <c r="H27" s="9">
        <v>-6.3540000000000001</v>
      </c>
      <c r="I27" s="9">
        <v>7.1999999999999995E-2</v>
      </c>
      <c r="J27" s="9">
        <v>38.176000000000002</v>
      </c>
      <c r="K27" s="9">
        <v>32014</v>
      </c>
    </row>
    <row r="28" spans="1:14" x14ac:dyDescent="0.2">
      <c r="A28" s="9" t="s">
        <v>51</v>
      </c>
      <c r="B28" s="10" t="s">
        <v>52</v>
      </c>
      <c r="C28" s="9" t="s">
        <v>53</v>
      </c>
      <c r="D28" s="9" t="s">
        <v>29</v>
      </c>
      <c r="E28" s="9">
        <v>2.472</v>
      </c>
      <c r="F28" s="9">
        <v>0.76119999999999999</v>
      </c>
      <c r="G28" s="9">
        <v>60.628999999999998</v>
      </c>
      <c r="H28" s="9">
        <v>-8.2870000000000008</v>
      </c>
      <c r="I28" s="9">
        <v>7.1999999999999995E-2</v>
      </c>
      <c r="J28" s="9">
        <v>49.030999999999999</v>
      </c>
      <c r="K28" s="9">
        <v>32014</v>
      </c>
    </row>
    <row r="29" spans="1:14" x14ac:dyDescent="0.2">
      <c r="A29" s="9" t="s">
        <v>54</v>
      </c>
      <c r="B29" s="10" t="s">
        <v>55</v>
      </c>
      <c r="C29" s="9" t="s">
        <v>56</v>
      </c>
      <c r="D29" s="9" t="s">
        <v>29</v>
      </c>
      <c r="E29" s="9">
        <v>2.5369999999999999</v>
      </c>
      <c r="F29" s="9">
        <v>0.75490000000000002</v>
      </c>
      <c r="G29" s="9">
        <v>67.727999999999994</v>
      </c>
      <c r="H29" s="9">
        <v>-9.58</v>
      </c>
      <c r="I29" s="9">
        <v>7.1999999999999995E-2</v>
      </c>
      <c r="J29" s="9">
        <v>56.197000000000003</v>
      </c>
      <c r="K29" s="9">
        <v>32014</v>
      </c>
    </row>
    <row r="30" spans="1:14" x14ac:dyDescent="0.2">
      <c r="A30" s="9" t="s">
        <v>57</v>
      </c>
      <c r="B30" s="10" t="s">
        <v>58</v>
      </c>
      <c r="C30" s="9" t="s">
        <v>59</v>
      </c>
      <c r="D30" s="9" t="s">
        <v>29</v>
      </c>
      <c r="E30" s="9">
        <v>2.5960000000000001</v>
      </c>
      <c r="F30" s="9">
        <v>0.73309999999999997</v>
      </c>
      <c r="G30" s="9">
        <v>78.08</v>
      </c>
      <c r="H30" s="9">
        <v>-11.885999999999999</v>
      </c>
      <c r="I30" s="9">
        <v>7.1999999999999995E-2</v>
      </c>
      <c r="J30" s="9">
        <v>67.971000000000004</v>
      </c>
      <c r="K30" s="9">
        <v>32014</v>
      </c>
    </row>
    <row r="31" spans="1:14" x14ac:dyDescent="0.2">
      <c r="A31" s="9" t="s">
        <v>60</v>
      </c>
      <c r="B31" s="10" t="s">
        <v>61</v>
      </c>
      <c r="C31" s="9" t="s">
        <v>62</v>
      </c>
      <c r="D31" s="9" t="s">
        <v>29</v>
      </c>
      <c r="E31" s="9">
        <v>2.65</v>
      </c>
      <c r="F31" s="9">
        <v>0.71850000000000003</v>
      </c>
      <c r="G31" s="9">
        <v>87.495999999999995</v>
      </c>
      <c r="H31" s="9">
        <v>-13.932</v>
      </c>
      <c r="I31" s="9">
        <v>7.1999999999999995E-2</v>
      </c>
      <c r="J31" s="9">
        <v>78.188000000000002</v>
      </c>
      <c r="K31" s="9">
        <v>32014</v>
      </c>
    </row>
    <row r="32" spans="1:14" x14ac:dyDescent="0.2">
      <c r="A32" s="9" t="s">
        <v>63</v>
      </c>
      <c r="B32" s="10" t="s">
        <v>64</v>
      </c>
      <c r="C32" s="9" t="s">
        <v>65</v>
      </c>
      <c r="D32" s="9" t="s">
        <v>29</v>
      </c>
      <c r="E32" s="9">
        <v>2.698</v>
      </c>
      <c r="F32" s="9">
        <v>0.71199999999999997</v>
      </c>
      <c r="G32" s="9">
        <v>95.641999999999996</v>
      </c>
      <c r="H32" s="9">
        <v>-15.452999999999999</v>
      </c>
      <c r="I32" s="9">
        <v>7.1999999999999995E-2</v>
      </c>
      <c r="J32" s="9">
        <v>86.275999999999996</v>
      </c>
      <c r="K32" s="9">
        <v>32014</v>
      </c>
    </row>
    <row r="33" spans="1:11" x14ac:dyDescent="0.2">
      <c r="A33" s="9" t="s">
        <v>66</v>
      </c>
      <c r="B33" s="10" t="s">
        <v>67</v>
      </c>
      <c r="C33" s="9" t="s">
        <v>68</v>
      </c>
      <c r="D33" s="9" t="s">
        <v>29</v>
      </c>
      <c r="E33" s="9">
        <v>2.7250000000000001</v>
      </c>
      <c r="F33" s="9">
        <v>0.73070000000000002</v>
      </c>
      <c r="G33" s="9">
        <v>103.64100000000001</v>
      </c>
      <c r="H33" s="9">
        <v>-16.062999999999999</v>
      </c>
      <c r="I33" s="9">
        <v>7.1999999999999995E-2</v>
      </c>
      <c r="J33" s="9">
        <v>92.100999999999999</v>
      </c>
      <c r="K33" s="9">
        <v>32014</v>
      </c>
    </row>
    <row r="34" spans="1:11" x14ac:dyDescent="0.2">
      <c r="A34" s="9" t="s">
        <v>69</v>
      </c>
      <c r="B34" s="10" t="s">
        <v>70</v>
      </c>
      <c r="C34" s="9" t="s">
        <v>71</v>
      </c>
      <c r="D34" s="9" t="s">
        <v>29</v>
      </c>
      <c r="E34" s="9">
        <v>2.7890000000000001</v>
      </c>
      <c r="F34" s="9">
        <v>0.75419999999999998</v>
      </c>
      <c r="G34" s="9">
        <v>118.017</v>
      </c>
      <c r="H34" s="9">
        <v>-17.425000000000001</v>
      </c>
      <c r="I34" s="9">
        <v>7.1999999999999995E-2</v>
      </c>
      <c r="J34" s="9">
        <v>103.504</v>
      </c>
      <c r="K34" s="9">
        <v>32014</v>
      </c>
    </row>
    <row r="35" spans="1:11" x14ac:dyDescent="0.2">
      <c r="A35" s="9" t="s">
        <v>72</v>
      </c>
      <c r="B35" s="10" t="s">
        <v>73</v>
      </c>
      <c r="C35" s="9" t="s">
        <v>74</v>
      </c>
      <c r="D35" s="9" t="s">
        <v>29</v>
      </c>
      <c r="E35" s="9">
        <v>2.82</v>
      </c>
      <c r="F35" s="9">
        <v>0.76719999999999999</v>
      </c>
      <c r="G35" s="9">
        <v>124.22499999999999</v>
      </c>
      <c r="H35" s="9">
        <v>-17.832000000000001</v>
      </c>
      <c r="I35" s="9">
        <v>7.1999999999999995E-2</v>
      </c>
      <c r="J35" s="9">
        <v>108.13200000000001</v>
      </c>
      <c r="K35" s="9">
        <v>32014</v>
      </c>
    </row>
    <row r="36" spans="1:11" x14ac:dyDescent="0.2">
      <c r="A36" s="9" t="s">
        <v>75</v>
      </c>
      <c r="B36" s="10" t="s">
        <v>158</v>
      </c>
      <c r="C36" s="9" t="s">
        <v>159</v>
      </c>
      <c r="D36" s="9" t="s">
        <v>29</v>
      </c>
      <c r="E36" s="9">
        <v>2.778</v>
      </c>
      <c r="F36" s="9">
        <v>0.7077</v>
      </c>
      <c r="G36" s="9">
        <v>112.273</v>
      </c>
      <c r="H36" s="9">
        <v>-18.309000000000001</v>
      </c>
      <c r="I36" s="9">
        <v>7.1999999999999995E-2</v>
      </c>
      <c r="J36" s="9">
        <v>102.15600000000001</v>
      </c>
      <c r="K36" s="9">
        <v>32014</v>
      </c>
    </row>
    <row r="37" spans="1:1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1" x14ac:dyDescent="0.2">
      <c r="A39" s="8"/>
      <c r="B39" s="10" t="s">
        <v>131</v>
      </c>
      <c r="C39" s="11">
        <v>40199</v>
      </c>
      <c r="D39" s="8"/>
      <c r="E39" s="8"/>
      <c r="F39" s="8"/>
      <c r="G39" s="8"/>
      <c r="H39" s="8"/>
      <c r="I39" s="8"/>
      <c r="J39" s="8"/>
    </row>
    <row r="40" spans="1:11" x14ac:dyDescent="0.2">
      <c r="A40" s="8"/>
      <c r="B40" s="10" t="s">
        <v>160</v>
      </c>
      <c r="C40" s="11">
        <v>40239</v>
      </c>
      <c r="D40" s="8"/>
      <c r="E40" s="8"/>
      <c r="F40" s="8"/>
      <c r="G40" s="8"/>
      <c r="H40" s="8"/>
      <c r="I40" s="8"/>
      <c r="J40" s="8"/>
    </row>
    <row r="41" spans="1:11" x14ac:dyDescent="0.2">
      <c r="A41" s="8"/>
      <c r="B41" s="10" t="s">
        <v>161</v>
      </c>
      <c r="C41" s="11">
        <v>40267</v>
      </c>
      <c r="D41" s="8"/>
      <c r="E41" s="8"/>
      <c r="F41" s="8"/>
      <c r="G41" s="8"/>
      <c r="H41" s="8"/>
      <c r="I41" s="8"/>
      <c r="J41" s="8"/>
    </row>
    <row r="44" spans="1:11" x14ac:dyDescent="0.2">
      <c r="A44" s="6" t="s">
        <v>102</v>
      </c>
    </row>
    <row r="45" spans="1:11" x14ac:dyDescent="0.2">
      <c r="A45" s="6" t="s">
        <v>103</v>
      </c>
    </row>
    <row r="46" spans="1:11" x14ac:dyDescent="0.2">
      <c r="A46" s="6" t="s">
        <v>137</v>
      </c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 enableFormatConditionsCalculation="0"/>
  <dimension ref="A1:L124"/>
  <sheetViews>
    <sheetView tabSelected="1" workbookViewId="0">
      <selection activeCell="B15" sqref="B15"/>
    </sheetView>
  </sheetViews>
  <sheetFormatPr defaultColWidth="11" defaultRowHeight="12.75" x14ac:dyDescent="0.2"/>
  <cols>
    <col min="1" max="1" width="18.125" customWidth="1"/>
    <col min="3" max="3" width="12" bestFit="1" customWidth="1"/>
    <col min="4" max="4" width="11.875" bestFit="1" customWidth="1"/>
  </cols>
  <sheetData>
    <row r="1" spans="1:11" x14ac:dyDescent="0.2">
      <c r="A1" s="6" t="s">
        <v>169</v>
      </c>
    </row>
    <row r="5" spans="1:11" x14ac:dyDescent="0.2">
      <c r="A5">
        <v>2.6249999999999999E-2</v>
      </c>
      <c r="C5" s="2">
        <v>40237</v>
      </c>
      <c r="D5" t="s">
        <v>104</v>
      </c>
      <c r="E5">
        <v>201403</v>
      </c>
      <c r="F5">
        <v>3</v>
      </c>
      <c r="G5">
        <v>2014</v>
      </c>
      <c r="H5">
        <v>32014</v>
      </c>
    </row>
    <row r="6" spans="1:11" x14ac:dyDescent="0.2">
      <c r="A6" s="1">
        <v>42688</v>
      </c>
      <c r="B6">
        <v>6</v>
      </c>
      <c r="C6" t="s">
        <v>105</v>
      </c>
      <c r="D6" t="s">
        <v>106</v>
      </c>
    </row>
    <row r="7" spans="1:11" x14ac:dyDescent="0.2">
      <c r="A7">
        <v>202011</v>
      </c>
      <c r="B7">
        <v>6</v>
      </c>
      <c r="C7" t="s">
        <v>107</v>
      </c>
      <c r="D7" t="s">
        <v>108</v>
      </c>
    </row>
    <row r="8" spans="1:11" x14ac:dyDescent="0.2">
      <c r="A8">
        <v>11</v>
      </c>
      <c r="C8" t="s">
        <v>109</v>
      </c>
      <c r="D8" s="3" t="s">
        <v>110</v>
      </c>
      <c r="E8" t="s">
        <v>111</v>
      </c>
      <c r="K8" t="str">
        <f>RIGHT(A10,4)</f>
        <v>2020</v>
      </c>
    </row>
    <row r="9" spans="1:11" x14ac:dyDescent="0.2">
      <c r="A9">
        <v>2020</v>
      </c>
      <c r="B9">
        <v>6</v>
      </c>
      <c r="D9" s="3" t="s">
        <v>112</v>
      </c>
      <c r="E9" t="s">
        <v>113</v>
      </c>
      <c r="K9">
        <f>A10-K8</f>
        <v>110000</v>
      </c>
    </row>
    <row r="10" spans="1:11" x14ac:dyDescent="0.2">
      <c r="A10">
        <v>112020</v>
      </c>
      <c r="C10" t="s">
        <v>114</v>
      </c>
      <c r="D10">
        <f>1/1.03^(B9/6)</f>
        <v>0.970873786407767</v>
      </c>
      <c r="K10">
        <f>K9/10000</f>
        <v>11</v>
      </c>
    </row>
    <row r="11" spans="1:11" x14ac:dyDescent="0.2">
      <c r="A11">
        <f>ConvFctr(A5,H5,A10)</f>
        <v>0.82053512874616241</v>
      </c>
      <c r="C11" t="s">
        <v>115</v>
      </c>
      <c r="D11">
        <f>(A5/2)*(6-B9)/6</f>
        <v>0</v>
      </c>
    </row>
    <row r="12" spans="1:11" x14ac:dyDescent="0.2">
      <c r="B12">
        <v>0.82053512874616241</v>
      </c>
      <c r="C12" t="s">
        <v>116</v>
      </c>
      <c r="D12">
        <f>1/1.03^(2*B6)</f>
        <v>0.70137988019297326</v>
      </c>
    </row>
    <row r="13" spans="1:11" x14ac:dyDescent="0.2">
      <c r="C13" t="s">
        <v>117</v>
      </c>
      <c r="D13">
        <f>(A5/0.06)*(1-D12)</f>
        <v>0.13064630241557421</v>
      </c>
      <c r="F13" s="1">
        <v>40199</v>
      </c>
    </row>
    <row r="15" spans="1:11" x14ac:dyDescent="0.2">
      <c r="A15" s="5" t="s">
        <v>149</v>
      </c>
      <c r="B15">
        <f>D10*(0.5*A5+D12+D13)-D11</f>
        <v>0.82053512874616263</v>
      </c>
      <c r="C15" s="6" t="s">
        <v>170</v>
      </c>
    </row>
    <row r="16" spans="1:11" x14ac:dyDescent="0.2">
      <c r="B16" s="5">
        <v>0.82053512874616197</v>
      </c>
      <c r="C16" s="6" t="s">
        <v>171</v>
      </c>
    </row>
    <row r="18" spans="1:5" x14ac:dyDescent="0.2">
      <c r="A18" s="6" t="s">
        <v>96</v>
      </c>
    </row>
    <row r="19" spans="1:5" x14ac:dyDescent="0.2">
      <c r="A19" s="6" t="s">
        <v>97</v>
      </c>
    </row>
    <row r="20" spans="1:5" x14ac:dyDescent="0.2">
      <c r="A20" s="6" t="s">
        <v>98</v>
      </c>
    </row>
    <row r="21" spans="1:5" x14ac:dyDescent="0.2">
      <c r="A21" s="6" t="s">
        <v>99</v>
      </c>
    </row>
    <row r="24" spans="1:5" x14ac:dyDescent="0.2">
      <c r="A24" t="s">
        <v>118</v>
      </c>
      <c r="B24">
        <v>102.21</v>
      </c>
      <c r="C24" t="s">
        <v>119</v>
      </c>
    </row>
    <row r="25" spans="1:5" x14ac:dyDescent="0.2">
      <c r="A25" t="s">
        <v>120</v>
      </c>
      <c r="B25">
        <f>+DOLLARDE(B24,32)</f>
        <v>102.65624999999999</v>
      </c>
      <c r="C25" t="s">
        <v>121</v>
      </c>
      <c r="D25">
        <f>YIELD(F13,A6,A5,B25,100,2,1)</f>
        <v>2.2026792599325939E-2</v>
      </c>
      <c r="E25" s="6" t="s">
        <v>91</v>
      </c>
    </row>
    <row r="28" spans="1:5" x14ac:dyDescent="0.2">
      <c r="A28" t="s">
        <v>122</v>
      </c>
      <c r="B28">
        <v>124.16</v>
      </c>
      <c r="C28" s="6" t="s">
        <v>92</v>
      </c>
    </row>
    <row r="29" spans="1:5" x14ac:dyDescent="0.2">
      <c r="B29">
        <f>+DOLLARDE(B28,32)</f>
        <v>124.49999999999999</v>
      </c>
      <c r="C29" s="6" t="s">
        <v>93</v>
      </c>
    </row>
    <row r="30" spans="1:5" x14ac:dyDescent="0.2">
      <c r="A30" t="s">
        <v>123</v>
      </c>
      <c r="B30">
        <f>B15*B29</f>
        <v>102.15662352889724</v>
      </c>
      <c r="C30" s="6" t="s">
        <v>94</v>
      </c>
    </row>
    <row r="31" spans="1:5" x14ac:dyDescent="0.2">
      <c r="C31" s="7" t="s">
        <v>95</v>
      </c>
    </row>
    <row r="32" spans="1:5" x14ac:dyDescent="0.2">
      <c r="C32" s="7"/>
    </row>
    <row r="33" spans="1:8" x14ac:dyDescent="0.2">
      <c r="A33" s="5" t="s">
        <v>124</v>
      </c>
      <c r="B33">
        <f>B25-B30</f>
        <v>0.49962647110274361</v>
      </c>
      <c r="C33" s="6" t="s">
        <v>138</v>
      </c>
    </row>
    <row r="34" spans="1:8" x14ac:dyDescent="0.2">
      <c r="A34" s="3" t="s">
        <v>125</v>
      </c>
      <c r="B34" s="5">
        <f>B33*32</f>
        <v>15.988047075287795</v>
      </c>
    </row>
    <row r="36" spans="1:8" x14ac:dyDescent="0.2">
      <c r="A36" s="6" t="s">
        <v>139</v>
      </c>
    </row>
    <row r="37" spans="1:8" x14ac:dyDescent="0.2">
      <c r="A37" s="6" t="s">
        <v>13</v>
      </c>
    </row>
    <row r="38" spans="1:8" x14ac:dyDescent="0.2">
      <c r="A38" t="s">
        <v>126</v>
      </c>
      <c r="B38">
        <f>D40*D41</f>
        <v>0.49309392265193369</v>
      </c>
      <c r="C38" t="s">
        <v>127</v>
      </c>
      <c r="D38" s="1">
        <v>40131</v>
      </c>
      <c r="F38" t="s">
        <v>131</v>
      </c>
      <c r="G38" s="4">
        <v>40199</v>
      </c>
    </row>
    <row r="39" spans="1:8" x14ac:dyDescent="0.2">
      <c r="C39" t="s">
        <v>128</v>
      </c>
      <c r="D39" s="1">
        <v>40312</v>
      </c>
    </row>
    <row r="40" spans="1:8" x14ac:dyDescent="0.2">
      <c r="C40" t="s">
        <v>129</v>
      </c>
      <c r="D40">
        <f>A5/2*100</f>
        <v>1.3125</v>
      </c>
    </row>
    <row r="41" spans="1:8" x14ac:dyDescent="0.2">
      <c r="C41" t="s">
        <v>130</v>
      </c>
      <c r="D41">
        <f>(G38-D38)/(D39-D38)</f>
        <v>0.37569060773480661</v>
      </c>
    </row>
    <row r="43" spans="1:8" x14ac:dyDescent="0.2">
      <c r="A43" t="s">
        <v>132</v>
      </c>
      <c r="E43">
        <f>B25+B38</f>
        <v>103.14934392265192</v>
      </c>
      <c r="F43" s="6" t="s">
        <v>140</v>
      </c>
    </row>
    <row r="46" spans="1:8" x14ac:dyDescent="0.2">
      <c r="A46" t="s">
        <v>133</v>
      </c>
      <c r="C46" s="1">
        <v>40267</v>
      </c>
      <c r="G46">
        <f>C46-G38</f>
        <v>68</v>
      </c>
      <c r="H46" t="s">
        <v>7</v>
      </c>
    </row>
    <row r="47" spans="1:8" x14ac:dyDescent="0.2">
      <c r="A47" t="s">
        <v>134</v>
      </c>
      <c r="C47">
        <f>B30</f>
        <v>102.15662352889724</v>
      </c>
    </row>
    <row r="48" spans="1:8" x14ac:dyDescent="0.2">
      <c r="A48" t="s">
        <v>126</v>
      </c>
      <c r="C48">
        <f>(C46-D38)/(D39-D38)*D40</f>
        <v>0.98618784530386738</v>
      </c>
    </row>
    <row r="49" spans="1:5" x14ac:dyDescent="0.2">
      <c r="A49" t="s">
        <v>135</v>
      </c>
      <c r="C49">
        <f>C47+C48</f>
        <v>103.14281137420112</v>
      </c>
    </row>
    <row r="51" spans="1:5" x14ac:dyDescent="0.2">
      <c r="A51" s="5" t="s">
        <v>136</v>
      </c>
      <c r="C51">
        <f>C49/E43</f>
        <v>0.99993666902568279</v>
      </c>
    </row>
    <row r="52" spans="1:5" x14ac:dyDescent="0.2">
      <c r="C52">
        <f>C51^(365/(C46-G38))</f>
        <v>0.99966010869334909</v>
      </c>
    </row>
    <row r="53" spans="1:5" x14ac:dyDescent="0.2">
      <c r="C53" s="5">
        <f>C52-1</f>
        <v>-3.3989130665090794E-4</v>
      </c>
      <c r="D53" s="6" t="s">
        <v>145</v>
      </c>
    </row>
    <row r="54" spans="1:5" x14ac:dyDescent="0.2">
      <c r="D54" s="6" t="s">
        <v>146</v>
      </c>
    </row>
    <row r="55" spans="1:5" x14ac:dyDescent="0.2">
      <c r="A55" s="6" t="s">
        <v>8</v>
      </c>
      <c r="C55">
        <v>7.2000000000000005E-4</v>
      </c>
    </row>
    <row r="57" spans="1:5" x14ac:dyDescent="0.2">
      <c r="A57" s="6" t="s">
        <v>9</v>
      </c>
    </row>
    <row r="58" spans="1:5" x14ac:dyDescent="0.2">
      <c r="B58" s="6" t="s">
        <v>143</v>
      </c>
      <c r="C58">
        <f>E43</f>
        <v>103.14934392265192</v>
      </c>
    </row>
    <row r="59" spans="1:5" x14ac:dyDescent="0.2">
      <c r="B59" s="6" t="s">
        <v>12</v>
      </c>
      <c r="C59">
        <f>C55*(G46/360)*C58</f>
        <v>1.4028310773480662E-2</v>
      </c>
    </row>
    <row r="61" spans="1:5" x14ac:dyDescent="0.2">
      <c r="B61" s="6" t="s">
        <v>144</v>
      </c>
      <c r="C61">
        <f>C49</f>
        <v>103.14281137420112</v>
      </c>
    </row>
    <row r="63" spans="1:5" x14ac:dyDescent="0.2">
      <c r="B63" s="5" t="s">
        <v>9</v>
      </c>
      <c r="C63" s="5">
        <f>C58+C59-C61</f>
        <v>2.0560859224289629E-2</v>
      </c>
      <c r="D63" s="6" t="s">
        <v>141</v>
      </c>
    </row>
    <row r="64" spans="1:5" x14ac:dyDescent="0.2">
      <c r="B64" s="7" t="s">
        <v>10</v>
      </c>
      <c r="C64">
        <f>C63*32</f>
        <v>0.65794749517726814</v>
      </c>
      <c r="D64" s="6" t="s">
        <v>11</v>
      </c>
      <c r="E64" s="6" t="s">
        <v>142</v>
      </c>
    </row>
    <row r="66" spans="1:12" x14ac:dyDescent="0.2">
      <c r="D66" s="6" t="s">
        <v>147</v>
      </c>
    </row>
    <row r="68" spans="1:12" x14ac:dyDescent="0.2">
      <c r="D68" s="6" t="s">
        <v>148</v>
      </c>
    </row>
    <row r="69" spans="1:12" x14ac:dyDescent="0.2">
      <c r="D69" s="6" t="s">
        <v>150</v>
      </c>
    </row>
    <row r="70" spans="1:12" x14ac:dyDescent="0.2">
      <c r="D70" s="6" t="s">
        <v>151</v>
      </c>
    </row>
    <row r="71" spans="1:12" x14ac:dyDescent="0.2">
      <c r="D71" s="6" t="s">
        <v>152</v>
      </c>
    </row>
    <row r="72" spans="1:12" x14ac:dyDescent="0.2">
      <c r="D72" s="6" t="s">
        <v>153</v>
      </c>
    </row>
    <row r="74" spans="1:12" ht="18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8" x14ac:dyDescent="0.25">
      <c r="A75" s="16" t="s">
        <v>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8" x14ac:dyDescent="0.25">
      <c r="B76" t="s">
        <v>76</v>
      </c>
      <c r="C76" t="s">
        <v>3</v>
      </c>
      <c r="K76" s="16"/>
      <c r="L76" s="16"/>
    </row>
    <row r="77" spans="1:12" ht="18" x14ac:dyDescent="0.25">
      <c r="B77" t="s">
        <v>77</v>
      </c>
      <c r="D77">
        <f>124+11/32</f>
        <v>124.34375</v>
      </c>
      <c r="K77" s="16"/>
      <c r="L77" s="16"/>
    </row>
    <row r="78" spans="1:12" ht="18" x14ac:dyDescent="0.25">
      <c r="K78" s="16"/>
      <c r="L78" s="16"/>
    </row>
    <row r="79" spans="1:12" ht="18" x14ac:dyDescent="0.25">
      <c r="B79" t="s">
        <v>78</v>
      </c>
      <c r="C79" s="14">
        <v>2.75E-2</v>
      </c>
      <c r="D79" s="1">
        <v>43783</v>
      </c>
      <c r="E79" t="s">
        <v>79</v>
      </c>
      <c r="F79">
        <f>103+6.75/32</f>
        <v>103.2109375</v>
      </c>
      <c r="K79" s="16"/>
      <c r="L79" s="16"/>
    </row>
    <row r="80" spans="1:12" ht="18" x14ac:dyDescent="0.25">
      <c r="K80" s="16"/>
      <c r="L80" s="16"/>
    </row>
    <row r="81" spans="2:12" ht="18" x14ac:dyDescent="0.25">
      <c r="B81" t="s">
        <v>80</v>
      </c>
      <c r="D81">
        <v>0.82720000000000005</v>
      </c>
      <c r="K81" s="16"/>
      <c r="L81" s="16"/>
    </row>
    <row r="82" spans="2:12" ht="18" x14ac:dyDescent="0.25">
      <c r="K82" s="16"/>
      <c r="L82" s="16"/>
    </row>
    <row r="83" spans="2:12" ht="18" x14ac:dyDescent="0.25">
      <c r="B83" t="s">
        <v>81</v>
      </c>
      <c r="K83" s="16"/>
      <c r="L83" s="16"/>
    </row>
    <row r="84" spans="2:12" ht="18" x14ac:dyDescent="0.25">
      <c r="B84" t="s">
        <v>82</v>
      </c>
      <c r="C84" s="1">
        <v>41307</v>
      </c>
      <c r="K84" s="16"/>
      <c r="L84" s="16"/>
    </row>
    <row r="85" spans="2:12" ht="18" x14ac:dyDescent="0.25">
      <c r="B85" t="s">
        <v>83</v>
      </c>
      <c r="C85" s="1">
        <v>41227</v>
      </c>
      <c r="K85" s="16"/>
      <c r="L85" s="16"/>
    </row>
    <row r="86" spans="2:12" ht="18" x14ac:dyDescent="0.25">
      <c r="B86" t="s">
        <v>84</v>
      </c>
      <c r="C86" s="1">
        <v>41408</v>
      </c>
      <c r="K86" s="16"/>
      <c r="L86" s="16"/>
    </row>
    <row r="87" spans="2:12" ht="18" x14ac:dyDescent="0.25">
      <c r="B87" t="s">
        <v>85</v>
      </c>
      <c r="C87" s="1">
        <v>41363</v>
      </c>
      <c r="K87" s="16"/>
      <c r="L87" s="16"/>
    </row>
    <row r="88" spans="2:12" ht="18" x14ac:dyDescent="0.25">
      <c r="B88" t="s">
        <v>86</v>
      </c>
      <c r="C88" s="1">
        <v>41363</v>
      </c>
      <c r="K88" s="16"/>
      <c r="L88" s="16"/>
    </row>
    <row r="89" spans="2:12" ht="18" x14ac:dyDescent="0.25">
      <c r="B89" t="s">
        <v>88</v>
      </c>
      <c r="C89">
        <f>C79*50*(C84-C85)/(C86-C85)</f>
        <v>0.60773480662983426</v>
      </c>
      <c r="K89" s="16"/>
      <c r="L89" s="16"/>
    </row>
    <row r="90" spans="2:12" ht="18" x14ac:dyDescent="0.25">
      <c r="B90" t="s">
        <v>87</v>
      </c>
      <c r="D90">
        <f>F79+C89</f>
        <v>103.81867230662984</v>
      </c>
      <c r="K90" s="16"/>
      <c r="L90" s="16"/>
    </row>
    <row r="91" spans="2:12" ht="18" x14ac:dyDescent="0.25">
      <c r="B91" t="s">
        <v>89</v>
      </c>
      <c r="D91">
        <f>C79*50*(C87-C85)/(C86-C85)</f>
        <v>1.0331491712707181</v>
      </c>
      <c r="K91" s="16"/>
      <c r="L91" s="16"/>
    </row>
    <row r="92" spans="2:12" ht="18" x14ac:dyDescent="0.25">
      <c r="K92" s="16"/>
      <c r="L92" s="16"/>
    </row>
    <row r="93" spans="2:12" ht="18" x14ac:dyDescent="0.25">
      <c r="B93" t="s">
        <v>2</v>
      </c>
      <c r="D93" s="14">
        <v>6.1500000000000001E-3</v>
      </c>
      <c r="K93" s="16"/>
      <c r="L93" s="16"/>
    </row>
    <row r="94" spans="2:12" ht="18" x14ac:dyDescent="0.25">
      <c r="K94" s="16"/>
      <c r="L94" s="16"/>
    </row>
    <row r="95" spans="2:12" ht="18" x14ac:dyDescent="0.25">
      <c r="B95" t="s">
        <v>90</v>
      </c>
      <c r="D95">
        <f>D90*(1+D93*(C87-C84)/360)-D91</f>
        <v>102.88484299853246</v>
      </c>
      <c r="K95" s="16"/>
      <c r="L95" s="16"/>
    </row>
    <row r="96" spans="2:12" ht="18" x14ac:dyDescent="0.25">
      <c r="K96" s="16"/>
      <c r="L96" s="16"/>
    </row>
    <row r="97" spans="2:12" ht="18" x14ac:dyDescent="0.25">
      <c r="B97" t="s">
        <v>0</v>
      </c>
      <c r="D97">
        <f>D95/D81</f>
        <v>124.37722799629165</v>
      </c>
      <c r="F97" t="s">
        <v>1</v>
      </c>
      <c r="H97">
        <f>((D77*D81+D91)/D90-1)*360/(C87-C84)</f>
        <v>4.4352177245012203E-3</v>
      </c>
      <c r="K97" s="16"/>
      <c r="L97" s="16"/>
    </row>
    <row r="98" spans="2:12" ht="18" x14ac:dyDescent="0.25">
      <c r="K98" s="16"/>
      <c r="L98" s="16"/>
    </row>
    <row r="99" spans="2:12" ht="18" x14ac:dyDescent="0.25">
      <c r="K99" s="16"/>
      <c r="L99" s="16"/>
    </row>
    <row r="100" spans="2:12" ht="18" x14ac:dyDescent="0.25">
      <c r="K100" s="16"/>
      <c r="L100" s="16"/>
    </row>
    <row r="101" spans="2:12" ht="18" x14ac:dyDescent="0.25">
      <c r="K101" s="16"/>
      <c r="L101" s="16"/>
    </row>
    <row r="102" spans="2:12" ht="18" x14ac:dyDescent="0.25">
      <c r="K102" s="16"/>
      <c r="L102" s="16"/>
    </row>
    <row r="103" spans="2:12" ht="18" x14ac:dyDescent="0.25">
      <c r="B103" t="s">
        <v>4</v>
      </c>
      <c r="K103" s="16"/>
      <c r="L103" s="16"/>
    </row>
    <row r="104" spans="2:12" ht="18" x14ac:dyDescent="0.25">
      <c r="C104" s="15">
        <v>0.02</v>
      </c>
      <c r="D104" s="1">
        <v>44879</v>
      </c>
      <c r="E104" t="s">
        <v>5</v>
      </c>
      <c r="F104">
        <f>95+30.25/32</f>
        <v>95.9453125</v>
      </c>
      <c r="K104" s="16"/>
      <c r="L104" s="16"/>
    </row>
    <row r="105" spans="2:12" ht="18" x14ac:dyDescent="0.25">
      <c r="K105" s="16"/>
      <c r="L105" s="16"/>
    </row>
    <row r="106" spans="2:12" ht="18" x14ac:dyDescent="0.25">
      <c r="B106" t="s">
        <v>80</v>
      </c>
      <c r="D106">
        <v>0.71350000000000002</v>
      </c>
      <c r="K106" s="16"/>
      <c r="L106" s="16"/>
    </row>
    <row r="107" spans="2:12" ht="18" x14ac:dyDescent="0.25">
      <c r="K107" s="16"/>
      <c r="L107" s="16"/>
    </row>
    <row r="108" spans="2:12" ht="18" x14ac:dyDescent="0.25">
      <c r="B108" t="s">
        <v>81</v>
      </c>
      <c r="K108" s="16"/>
      <c r="L108" s="16"/>
    </row>
    <row r="109" spans="2:12" ht="18" x14ac:dyDescent="0.25">
      <c r="B109" t="s">
        <v>82</v>
      </c>
      <c r="C109" s="1">
        <v>41307</v>
      </c>
      <c r="K109" s="16"/>
      <c r="L109" s="16"/>
    </row>
    <row r="110" spans="2:12" ht="18" x14ac:dyDescent="0.25">
      <c r="B110" t="s">
        <v>83</v>
      </c>
      <c r="C110" s="1">
        <v>41227</v>
      </c>
      <c r="K110" s="16"/>
      <c r="L110" s="16"/>
    </row>
    <row r="111" spans="2:12" ht="18" x14ac:dyDescent="0.25">
      <c r="B111" t="s">
        <v>84</v>
      </c>
      <c r="C111" s="1">
        <v>41408</v>
      </c>
      <c r="K111" s="16"/>
      <c r="L111" s="16"/>
    </row>
    <row r="112" spans="2:12" ht="18" x14ac:dyDescent="0.25">
      <c r="B112" t="s">
        <v>85</v>
      </c>
      <c r="C112" s="1">
        <v>41363</v>
      </c>
      <c r="K112" s="16"/>
      <c r="L112" s="16"/>
    </row>
    <row r="113" spans="1:12" ht="18" x14ac:dyDescent="0.25">
      <c r="B113" t="s">
        <v>86</v>
      </c>
      <c r="C113" s="1">
        <v>41363</v>
      </c>
      <c r="K113" s="16"/>
      <c r="L113" s="16"/>
    </row>
    <row r="114" spans="1:12" ht="18" x14ac:dyDescent="0.25">
      <c r="B114" t="s">
        <v>88</v>
      </c>
      <c r="C114">
        <f>C104*50*(C109-C110)/(C111-C110)</f>
        <v>0.44198895027624308</v>
      </c>
      <c r="K114" s="16"/>
      <c r="L114" s="16"/>
    </row>
    <row r="115" spans="1:12" ht="18" x14ac:dyDescent="0.25">
      <c r="B115" t="s">
        <v>87</v>
      </c>
      <c r="D115">
        <f>F104+C114</f>
        <v>96.38730145027624</v>
      </c>
      <c r="K115" s="16"/>
      <c r="L115" s="16"/>
    </row>
    <row r="116" spans="1:12" ht="18" x14ac:dyDescent="0.25">
      <c r="B116" t="s">
        <v>89</v>
      </c>
      <c r="D116">
        <f>C104*50*(C112-C110)/(C111-C110)</f>
        <v>0.75138121546961323</v>
      </c>
      <c r="K116" s="16"/>
      <c r="L116" s="16"/>
    </row>
    <row r="117" spans="1:12" ht="18" x14ac:dyDescent="0.25">
      <c r="K117" s="16"/>
      <c r="L117" s="16"/>
    </row>
    <row r="118" spans="1:12" ht="18" x14ac:dyDescent="0.25">
      <c r="B118" t="s">
        <v>2</v>
      </c>
      <c r="D118" s="14">
        <v>6.1500000000000001E-3</v>
      </c>
      <c r="K118" s="16"/>
      <c r="L118" s="16"/>
    </row>
    <row r="119" spans="1:12" ht="18" x14ac:dyDescent="0.25">
      <c r="K119" s="16"/>
      <c r="L119" s="16"/>
    </row>
    <row r="120" spans="1:12" ht="18" x14ac:dyDescent="0.25">
      <c r="B120" t="s">
        <v>90</v>
      </c>
      <c r="D120">
        <f>D115*(1+D118*(C112-C109)/360)-D116</f>
        <v>95.728130753194066</v>
      </c>
      <c r="K120" s="16"/>
      <c r="L120" s="16"/>
    </row>
    <row r="121" spans="1:12" ht="18" x14ac:dyDescent="0.25">
      <c r="K121" s="16"/>
      <c r="L121" s="16"/>
    </row>
    <row r="122" spans="1:12" ht="18" x14ac:dyDescent="0.25">
      <c r="B122" t="s">
        <v>0</v>
      </c>
      <c r="D122">
        <f>D120/D106</f>
        <v>134.16696671786133</v>
      </c>
      <c r="F122" t="s">
        <v>1</v>
      </c>
      <c r="H122">
        <f>((D77*D106+D116)/D115-1)*360/(C112-C109)</f>
        <v>-0.46130774009517922</v>
      </c>
      <c r="K122" s="16"/>
      <c r="L122" s="16"/>
    </row>
    <row r="123" spans="1:12" ht="18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8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ScreenCapture</vt:lpstr>
      <vt:lpstr>ConvFact</vt:lpstr>
    </vt:vector>
  </TitlesOfParts>
  <Company>University of Arizona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Christopher Lamoureux</cp:lastModifiedBy>
  <dcterms:created xsi:type="dcterms:W3CDTF">2014-01-20T22:25:12Z</dcterms:created>
  <dcterms:modified xsi:type="dcterms:W3CDTF">2017-02-02T20:40:20Z</dcterms:modified>
</cp:coreProperties>
</file>